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usz Kulejewski\Desktop\Koszty i efektywność inwestycji\Koszty i Efektywność wykład\"/>
    </mc:Choice>
  </mc:AlternateContent>
  <bookViews>
    <workbookView xWindow="-120" yWindow="-120" windowWidth="20736" windowHeight="10836" activeTab="3"/>
  </bookViews>
  <sheets>
    <sheet name="Opis inwestycji" sheetId="6" r:id="rId1"/>
    <sheet name="Budynek" sheetId="4" r:id="rId2"/>
    <sheet name="Schemat postępowania" sheetId="5" r:id="rId3"/>
    <sheet name="Przepływy i NPV" sheetId="1" r:id="rId4"/>
    <sheet name="Arkusz2" sheetId="2" state="hidden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I5" i="1" l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F12" i="2" l="1"/>
  <c r="F11" i="2"/>
  <c r="F10" i="2"/>
  <c r="D28" i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B37" i="1"/>
  <c r="C4" i="2" s="1"/>
  <c r="G5" i="2" s="1"/>
  <c r="B35" i="1"/>
  <c r="H17" i="1" s="1"/>
  <c r="G14" i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C24" i="1"/>
  <c r="F20" i="1"/>
  <c r="F21" i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F22" i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D22" i="1"/>
  <c r="E22" i="1" s="1"/>
  <c r="D21" i="1"/>
  <c r="E21" i="1" s="1"/>
  <c r="D20" i="1"/>
  <c r="E20" i="1" s="1"/>
  <c r="D18" i="1"/>
  <c r="E18" i="1" s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F11" i="1" l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F6" i="1"/>
  <c r="J6" i="1"/>
  <c r="C11" i="2"/>
  <c r="L17" i="1"/>
  <c r="G11" i="2"/>
  <c r="C37" i="1"/>
  <c r="I6" i="1"/>
  <c r="G12" i="2"/>
  <c r="F17" i="1"/>
  <c r="F23" i="1" s="1"/>
  <c r="F24" i="1" s="1"/>
  <c r="I17" i="1"/>
  <c r="M17" i="1"/>
  <c r="E6" i="1"/>
  <c r="E17" i="1"/>
  <c r="J17" i="1"/>
  <c r="N17" i="1"/>
  <c r="N6" i="1"/>
  <c r="Y25" i="1"/>
  <c r="G17" i="1"/>
  <c r="K17" i="1"/>
  <c r="O17" i="1"/>
  <c r="F13" i="2"/>
  <c r="G10" i="2"/>
  <c r="K5" i="2"/>
  <c r="G3" i="2"/>
  <c r="N25" i="1"/>
  <c r="Z25" i="1"/>
  <c r="G6" i="1"/>
  <c r="K6" i="1"/>
  <c r="O6" i="1"/>
  <c r="C25" i="1"/>
  <c r="C26" i="1" s="1"/>
  <c r="C27" i="1" s="1"/>
  <c r="G25" i="1"/>
  <c r="K25" i="1"/>
  <c r="O25" i="1"/>
  <c r="S25" i="1"/>
  <c r="W25" i="1"/>
  <c r="AA25" i="1"/>
  <c r="D24" i="1"/>
  <c r="F25" i="1"/>
  <c r="R25" i="1"/>
  <c r="H6" i="1"/>
  <c r="L6" i="1"/>
  <c r="P6" i="1"/>
  <c r="D25" i="1"/>
  <c r="H25" i="1"/>
  <c r="L25" i="1"/>
  <c r="P25" i="1"/>
  <c r="T25" i="1"/>
  <c r="X25" i="1"/>
  <c r="J25" i="1"/>
  <c r="V25" i="1"/>
  <c r="M6" i="1"/>
  <c r="E25" i="1"/>
  <c r="I25" i="1"/>
  <c r="M25" i="1"/>
  <c r="Q25" i="1"/>
  <c r="U25" i="1"/>
  <c r="G20" i="1"/>
  <c r="H20" i="1" s="1"/>
  <c r="I20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E24" i="1" l="1"/>
  <c r="H23" i="1"/>
  <c r="G23" i="1"/>
  <c r="G24" i="1" s="1"/>
  <c r="I23" i="1"/>
  <c r="D26" i="1"/>
  <c r="D27" i="1" s="1"/>
  <c r="P17" i="1"/>
  <c r="E26" i="1"/>
  <c r="J23" i="1"/>
  <c r="F26" i="1"/>
  <c r="G13" i="2"/>
  <c r="F14" i="2"/>
  <c r="Q17" i="1" l="1"/>
  <c r="Q6" i="1"/>
  <c r="E27" i="1"/>
  <c r="F27" i="1" s="1"/>
  <c r="K23" i="1"/>
  <c r="G14" i="2"/>
  <c r="F15" i="2"/>
  <c r="G26" i="1"/>
  <c r="H24" i="1"/>
  <c r="H26" i="1" s="1"/>
  <c r="R6" i="1" l="1"/>
  <c r="R17" i="1"/>
  <c r="G27" i="1"/>
  <c r="H27" i="1" s="1"/>
  <c r="L23" i="1"/>
  <c r="F16" i="2"/>
  <c r="G15" i="2"/>
  <c r="I24" i="1"/>
  <c r="I26" i="1" s="1"/>
  <c r="S17" i="1" l="1"/>
  <c r="S6" i="1"/>
  <c r="M23" i="1"/>
  <c r="F17" i="2"/>
  <c r="G16" i="2"/>
  <c r="J24" i="1"/>
  <c r="J26" i="1" s="1"/>
  <c r="I27" i="1"/>
  <c r="T17" i="1" l="1"/>
  <c r="T6" i="1"/>
  <c r="N23" i="1"/>
  <c r="F18" i="2"/>
  <c r="G17" i="2"/>
  <c r="J27" i="1"/>
  <c r="K24" i="1"/>
  <c r="U6" i="1" l="1"/>
  <c r="U17" i="1"/>
  <c r="O23" i="1"/>
  <c r="K26" i="1"/>
  <c r="F19" i="2"/>
  <c r="G18" i="2"/>
  <c r="L24" i="1"/>
  <c r="L26" i="1" s="1"/>
  <c r="K27" i="1"/>
  <c r="V17" i="1" l="1"/>
  <c r="V6" i="1"/>
  <c r="P23" i="1"/>
  <c r="F20" i="2"/>
  <c r="G19" i="2"/>
  <c r="L27" i="1"/>
  <c r="M24" i="1"/>
  <c r="M26" i="1" s="1"/>
  <c r="W17" i="1" l="1"/>
  <c r="W6" i="1"/>
  <c r="Q23" i="1"/>
  <c r="F21" i="2"/>
  <c r="G20" i="2"/>
  <c r="M27" i="1"/>
  <c r="N24" i="1"/>
  <c r="N26" i="1" s="1"/>
  <c r="X17" i="1" l="1"/>
  <c r="X6" i="1"/>
  <c r="R23" i="1"/>
  <c r="F22" i="2"/>
  <c r="G22" i="2" s="1"/>
  <c r="G21" i="2"/>
  <c r="N27" i="1"/>
  <c r="O24" i="1"/>
  <c r="Y6" i="1" l="1"/>
  <c r="Y17" i="1"/>
  <c r="S23" i="1"/>
  <c r="O26" i="1"/>
  <c r="O27" i="1" s="1"/>
  <c r="P24" i="1"/>
  <c r="P26" i="1" s="1"/>
  <c r="AA6" i="1" l="1"/>
  <c r="Z6" i="1"/>
  <c r="Z17" i="1"/>
  <c r="T23" i="1"/>
  <c r="P27" i="1"/>
  <c r="Q24" i="1"/>
  <c r="AA17" i="1" l="1"/>
  <c r="U23" i="1"/>
  <c r="Q26" i="1"/>
  <c r="Q27" i="1" s="1"/>
  <c r="R24" i="1"/>
  <c r="R26" i="1" s="1"/>
  <c r="V23" i="1" l="1"/>
  <c r="R27" i="1"/>
  <c r="S24" i="1"/>
  <c r="S26" i="1" s="1"/>
  <c r="W23" i="1" l="1"/>
  <c r="T24" i="1"/>
  <c r="T26" i="1" s="1"/>
  <c r="S27" i="1"/>
  <c r="X23" i="1" l="1"/>
  <c r="T27" i="1"/>
  <c r="U24" i="1"/>
  <c r="U26" i="1" s="1"/>
  <c r="Y23" i="1" l="1"/>
  <c r="V24" i="1"/>
  <c r="V26" i="1" s="1"/>
  <c r="U27" i="1"/>
  <c r="AA23" i="1" l="1"/>
  <c r="Z23" i="1"/>
  <c r="V27" i="1"/>
  <c r="W24" i="1"/>
  <c r="W26" i="1" s="1"/>
  <c r="X24" i="1" l="1"/>
  <c r="X26" i="1" s="1"/>
  <c r="W27" i="1"/>
  <c r="X27" i="1" l="1"/>
  <c r="Y24" i="1"/>
  <c r="Y26" i="1" s="1"/>
  <c r="Z24" i="1" l="1"/>
  <c r="Z26" i="1" s="1"/>
  <c r="Y27" i="1"/>
  <c r="Z27" i="1" l="1"/>
  <c r="AA24" i="1"/>
  <c r="F34" i="1" l="1"/>
  <c r="AA26" i="1"/>
  <c r="F30" i="1" s="1"/>
  <c r="AA27" i="1" l="1"/>
</calcChain>
</file>

<file path=xl/sharedStrings.xml><?xml version="1.0" encoding="utf-8"?>
<sst xmlns="http://schemas.openxmlformats.org/spreadsheetml/2006/main" count="55" uniqueCount="54">
  <si>
    <t>Sprzedaż</t>
  </si>
  <si>
    <t xml:space="preserve">Amortyzacja </t>
  </si>
  <si>
    <t>Odsetki od kredytu</t>
  </si>
  <si>
    <t>Podatek od nieruchomości</t>
  </si>
  <si>
    <t xml:space="preserve">Podatek gruntowy </t>
  </si>
  <si>
    <t xml:space="preserve">Wieczyste </t>
  </si>
  <si>
    <t>Zużycie materiałów i energii</t>
  </si>
  <si>
    <t xml:space="preserve">Wynagrodzenia </t>
  </si>
  <si>
    <t xml:space="preserve">Opłaty bankowe </t>
  </si>
  <si>
    <t xml:space="preserve">Opłaty sądowe, notarialne </t>
  </si>
  <si>
    <t xml:space="preserve">Pozostałe </t>
  </si>
  <si>
    <t>Kupno gruntu</t>
  </si>
  <si>
    <t>Jednorazowa prowizja banku</t>
  </si>
  <si>
    <t>Podatek dochodowy</t>
  </si>
  <si>
    <t>Współczynnik dyskonta</t>
  </si>
  <si>
    <t>PLN</t>
  </si>
  <si>
    <t>Budowa budynku biurowego</t>
  </si>
  <si>
    <t>% wykorzystania możliwości budynku</t>
  </si>
  <si>
    <t>powierzchnia użytkowa, m2:</t>
  </si>
  <si>
    <t>całkowity koszt budowy, pln:</t>
  </si>
  <si>
    <t>koniec roku</t>
  </si>
  <si>
    <t>NPV=</t>
  </si>
  <si>
    <t xml:space="preserve">IRR = </t>
  </si>
  <si>
    <t>Okres użytkowania: 22 lata</t>
  </si>
  <si>
    <t>Rata</t>
  </si>
  <si>
    <t>odsetki</t>
  </si>
  <si>
    <t>Do spłaty*</t>
  </si>
  <si>
    <t>*) - na początek roku</t>
  </si>
  <si>
    <t>Spłata kredytu</t>
  </si>
  <si>
    <t>Przepływ pieniężny</t>
  </si>
  <si>
    <t>Zdyskontowany przepływ pieniężny</t>
  </si>
  <si>
    <t>Kumulowany zdyskontowany przepływ pieniężny</t>
  </si>
  <si>
    <t>Prognozowany czas realizacji: 3 lata</t>
  </si>
  <si>
    <t>Prognozowany czas eksploatacji: 22 lata</t>
  </si>
  <si>
    <t>Prognozowana wartość rezydualna: 40% wartości budynku nowego</t>
  </si>
  <si>
    <t>Rok 2022 - rozpoczęcie realizacji inwestycji</t>
  </si>
  <si>
    <t>Rok 2023 - zakończenie prac budowlanych, wprowadzanie przyszłych Najemców</t>
  </si>
  <si>
    <t>Rok 2024- zakończenie aranżacji wszystkich powierzchni dla Najemców</t>
  </si>
  <si>
    <r>
      <t>przyjęta stopa zwrotu kapitału,</t>
    </r>
    <r>
      <rPr>
        <i/>
        <sz val="10"/>
        <rFont val="Arial CE"/>
        <charset val="238"/>
      </rPr>
      <t xml:space="preserve"> i =</t>
    </r>
  </si>
  <si>
    <t>cena najmu, pln/m2</t>
  </si>
  <si>
    <t>koszt budowy 1m2</t>
  </si>
  <si>
    <t>Wokół budynku: układ chodników i schodów zewnętrznych umożliwiających dostęp do lokali usługowych i do części biurowej.</t>
  </si>
  <si>
    <t>Obiekt projektowany  na bazie kwadratu z ‘zielonym’ dziedzińcem w środku.</t>
  </si>
  <si>
    <t xml:space="preserve"> Budynek biurowo - usługowy w rejonie ulicy Jasnej w Dzielnicy Śródmieście w Warszawie.    </t>
  </si>
  <si>
    <t>Program przestrzenno - użytkowy:</t>
  </si>
  <si>
    <t xml:space="preserve">Dwie kondygnacje podziemne + sześć kondygnacji nadziemnych </t>
  </si>
  <si>
    <t>Kondygnacje podziemne: parking</t>
  </si>
  <si>
    <t>Parter: lokale usługowe, wynajem długoterminowy</t>
  </si>
  <si>
    <t>Kondygnacje 2 - 6: pomieszczenia biurowe, wynajem długoterminowy</t>
  </si>
  <si>
    <t>Ustrój nośny szkieletowy, płytowo - słupowy z żelbetowymi ścianami klatek schodowych</t>
  </si>
  <si>
    <t xml:space="preserve">Konstrukcja: </t>
  </si>
  <si>
    <t>Posadowienie bezpośrednie na płycie fundamentowej</t>
  </si>
  <si>
    <t>Stropodach żelbetowy</t>
  </si>
  <si>
    <t>9% stopa zwrotu  zainwestowanego kapitału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</si>
</sst>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z_ł_-;\-* #,##0\ _z_ł_-;_-* &quot;-&quot;\ _z_ł_-;_-@_-"/>
    <numFmt numFmtId="43" formatCode="_-* #,##0.00\ _z_ł_-;\-* #,##0.00\ _z_ł_-;_-* &quot;-&quot;??\ _z_ł_-;_-@_-"/>
    <numFmt numFmtId="164" formatCode="#,##0.00\ _z_ł"/>
    <numFmt numFmtId="165" formatCode="#,##0.000000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i/>
      <sz val="10"/>
      <name val="Arial CE"/>
      <charset val="238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/>
    <xf numFmtId="164" fontId="1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0" fillId="0" borderId="0" xfId="0" applyFill="1" applyBorder="1"/>
    <xf numFmtId="0" fontId="0" fillId="2" borderId="1" xfId="0" applyFill="1" applyBorder="1"/>
    <xf numFmtId="164" fontId="0" fillId="2" borderId="1" xfId="0" applyNumberFormat="1" applyFill="1" applyBorder="1" applyAlignment="1">
      <alignment horizontal="right"/>
    </xf>
    <xf numFmtId="164" fontId="0" fillId="2" borderId="1" xfId="0" applyNumberFormat="1" applyFill="1" applyBorder="1"/>
    <xf numFmtId="0" fontId="2" fillId="3" borderId="1" xfId="0" applyFont="1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0" fillId="6" borderId="1" xfId="0" applyFill="1" applyBorder="1"/>
    <xf numFmtId="164" fontId="0" fillId="6" borderId="1" xfId="0" applyNumberFormat="1" applyFill="1" applyBorder="1" applyAlignment="1">
      <alignment horizontal="right"/>
    </xf>
    <xf numFmtId="164" fontId="1" fillId="6" borderId="1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 vertical="center"/>
    </xf>
    <xf numFmtId="4" fontId="0" fillId="0" borderId="0" xfId="0" applyNumberFormat="1"/>
    <xf numFmtId="0" fontId="0" fillId="7" borderId="0" xfId="0" applyFill="1"/>
    <xf numFmtId="164" fontId="5" fillId="0" borderId="1" xfId="0" applyNumberFormat="1" applyFont="1" applyBorder="1" applyAlignment="1">
      <alignment horizontal="right"/>
    </xf>
    <xf numFmtId="41" fontId="0" fillId="0" borderId="0" xfId="0" applyNumberFormat="1"/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right"/>
    </xf>
    <xf numFmtId="0" fontId="0" fillId="4" borderId="0" xfId="0" applyFill="1"/>
    <xf numFmtId="43" fontId="1" fillId="4" borderId="1" xfId="0" applyNumberFormat="1" applyFont="1" applyFill="1" applyBorder="1" applyAlignment="1">
      <alignment horizontal="right"/>
    </xf>
    <xf numFmtId="43" fontId="0" fillId="4" borderId="1" xfId="0" applyNumberFormat="1" applyFill="1" applyBorder="1"/>
    <xf numFmtId="0" fontId="6" fillId="0" borderId="0" xfId="0" applyFont="1"/>
    <xf numFmtId="0" fontId="0" fillId="0" borderId="1" xfId="0" applyBorder="1" applyAlignment="1">
      <alignment horizontal="left"/>
    </xf>
    <xf numFmtId="0" fontId="3" fillId="0" borderId="0" xfId="0" applyFont="1" applyAlignment="1">
      <alignment horizontal="left"/>
    </xf>
    <xf numFmtId="0" fontId="0" fillId="7" borderId="0" xfId="0" applyFill="1" applyAlignment="1">
      <alignment horizontal="left"/>
    </xf>
    <xf numFmtId="1" fontId="0" fillId="7" borderId="0" xfId="0" applyNumberFormat="1" applyFill="1" applyAlignment="1">
      <alignment horizontal="left"/>
    </xf>
    <xf numFmtId="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66675</xdr:colOff>
      <xdr:row>33</xdr:row>
      <xdr:rowOff>114300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8A64A944-F104-404C-A563-775EB0FE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3850"/>
          <a:ext cx="7991475" cy="513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0</xdr:rowOff>
    </xdr:from>
    <xdr:to>
      <xdr:col>27</xdr:col>
      <xdr:colOff>561975</xdr:colOff>
      <xdr:row>28</xdr:row>
      <xdr:rowOff>152400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FDE2A0BF-9FF6-439D-B1F1-24E199718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323850"/>
          <a:ext cx="7877175" cy="436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13</xdr:col>
      <xdr:colOff>295275</xdr:colOff>
      <xdr:row>56</xdr:row>
      <xdr:rowOff>133350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C2A8CF03-D73D-4A6F-AF48-6F9AC9B74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5667375"/>
          <a:ext cx="7000875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20</xdr:col>
      <xdr:colOff>208288</xdr:colOff>
      <xdr:row>35</xdr:row>
      <xdr:rowOff>38100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FF8AC847-47CC-48DA-A88D-ADB7E028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485775"/>
          <a:ext cx="9961888" cy="521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7"/>
  <sheetViews>
    <sheetView zoomScaleNormal="100" workbookViewId="0">
      <selection activeCell="W24" sqref="W24"/>
    </sheetView>
  </sheetViews>
  <sheetFormatPr defaultRowHeight="13.2" x14ac:dyDescent="0.25"/>
  <sheetData>
    <row r="3" spans="2:22" ht="21" x14ac:dyDescent="0.4">
      <c r="B3" s="41" t="s">
        <v>43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2:22" ht="2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2:22" ht="21" x14ac:dyDescent="0.4">
      <c r="B5" s="41" t="s">
        <v>44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</row>
    <row r="6" spans="2:22" ht="21" x14ac:dyDescent="0.4">
      <c r="B6" s="41"/>
      <c r="C6" s="41"/>
      <c r="D6" s="41"/>
      <c r="E6" s="41"/>
      <c r="F6" s="41"/>
      <c r="G6" s="41" t="s">
        <v>42</v>
      </c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2:22" ht="21" x14ac:dyDescent="0.4">
      <c r="M7" s="41"/>
      <c r="N7" s="41"/>
      <c r="O7" s="41"/>
      <c r="P7" s="41"/>
      <c r="Q7" s="41"/>
    </row>
    <row r="8" spans="2:22" ht="21" x14ac:dyDescent="0.4">
      <c r="B8" s="41"/>
      <c r="C8" s="41"/>
      <c r="D8" s="41"/>
      <c r="E8" s="41"/>
      <c r="F8" s="41"/>
      <c r="G8" s="41" t="s">
        <v>45</v>
      </c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10" spans="2:22" ht="21" x14ac:dyDescent="0.4">
      <c r="B10" s="41"/>
      <c r="C10" s="41"/>
      <c r="D10" s="41"/>
      <c r="E10" s="41"/>
      <c r="F10" s="41"/>
      <c r="G10" s="41" t="s">
        <v>46</v>
      </c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2:22" ht="21" x14ac:dyDescent="0.4"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2:22" ht="21" x14ac:dyDescent="0.4">
      <c r="B12" s="41"/>
      <c r="C12" s="41"/>
      <c r="D12" s="41"/>
      <c r="E12" s="41"/>
      <c r="F12" s="41"/>
      <c r="G12" s="41" t="s">
        <v>47</v>
      </c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2:22" ht="21" x14ac:dyDescent="0.4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2:22" ht="21" x14ac:dyDescent="0.4">
      <c r="B14" s="41"/>
      <c r="C14" s="41"/>
      <c r="D14" s="41"/>
      <c r="E14" s="41"/>
      <c r="F14" s="41"/>
      <c r="G14" s="41" t="s">
        <v>48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2:22" ht="21" x14ac:dyDescent="0.4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2:22" ht="21" x14ac:dyDescent="0.4">
      <c r="B16" s="41" t="s">
        <v>50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2:17" ht="21" x14ac:dyDescent="0.4">
      <c r="B17" s="41"/>
      <c r="C17" s="41"/>
      <c r="D17" s="41"/>
      <c r="E17" s="41"/>
      <c r="F17" s="41"/>
      <c r="G17" s="41" t="s">
        <v>49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2:17" ht="21" x14ac:dyDescent="0.4"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2:17" ht="21" x14ac:dyDescent="0.4">
      <c r="B19" s="41"/>
      <c r="C19" s="41"/>
      <c r="D19" s="41"/>
      <c r="E19" s="41"/>
      <c r="F19" s="41"/>
      <c r="G19" s="41" t="s">
        <v>51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2:17" ht="21" x14ac:dyDescent="0.4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2:17" ht="21" x14ac:dyDescent="0.4">
      <c r="B21" s="41"/>
      <c r="C21" s="41"/>
      <c r="D21" s="41"/>
      <c r="E21" s="41"/>
      <c r="F21" s="41"/>
      <c r="G21" s="41" t="s">
        <v>52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</row>
    <row r="22" spans="2:17" ht="21" x14ac:dyDescent="0.4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2:17" ht="21" x14ac:dyDescent="0.4">
      <c r="B23" s="41" t="s">
        <v>41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2:17" ht="21" x14ac:dyDescent="0.4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2:17" ht="21" x14ac:dyDescent="0.4">
      <c r="B25" s="41" t="s">
        <v>32</v>
      </c>
      <c r="C25" s="41"/>
      <c r="D25" s="41"/>
      <c r="E25" s="41"/>
      <c r="F25" s="41"/>
      <c r="G25" s="41"/>
      <c r="H25" s="41"/>
      <c r="I25" s="40"/>
      <c r="J25" s="40"/>
      <c r="K25" s="41"/>
      <c r="L25" s="41"/>
      <c r="M25" s="41"/>
      <c r="N25" s="41"/>
      <c r="O25" s="41"/>
      <c r="P25" s="41"/>
      <c r="Q25" s="41"/>
    </row>
    <row r="26" spans="2:17" ht="21" x14ac:dyDescent="0.4">
      <c r="B26" s="41" t="s">
        <v>33</v>
      </c>
      <c r="C26" s="41"/>
      <c r="D26" s="41"/>
      <c r="E26" s="41"/>
      <c r="F26" s="41"/>
      <c r="G26" s="41"/>
      <c r="H26" s="41"/>
      <c r="I26" s="40"/>
      <c r="J26" s="40"/>
      <c r="P26" s="42"/>
    </row>
    <row r="27" spans="2:17" ht="21" x14ac:dyDescent="0.4">
      <c r="B27" s="41" t="s">
        <v>34</v>
      </c>
      <c r="C27" s="41"/>
      <c r="D27" s="41"/>
      <c r="E27" s="41"/>
      <c r="F27" s="41"/>
      <c r="G27" s="41"/>
      <c r="H27" s="41"/>
      <c r="I27" s="40"/>
      <c r="J27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39:U39"/>
  <sheetViews>
    <sheetView topLeftCell="A31" workbookViewId="0">
      <selection activeCell="P42" sqref="P42"/>
    </sheetView>
  </sheetViews>
  <sheetFormatPr defaultRowHeight="13.2" x14ac:dyDescent="0.25"/>
  <sheetData>
    <row r="39" spans="15:21" ht="15.6" x14ac:dyDescent="0.3">
      <c r="O39" s="33"/>
      <c r="P39" s="33"/>
      <c r="Q39" s="33"/>
      <c r="R39" s="33"/>
      <c r="S39" s="33"/>
      <c r="T39" s="33"/>
      <c r="U39" s="33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3" workbookViewId="0">
      <selection activeCell="X9" sqref="X9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"/>
  <sheetViews>
    <sheetView tabSelected="1" topLeftCell="A7" zoomScale="160" zoomScaleNormal="160" workbookViewId="0">
      <selection activeCell="B37" sqref="B37"/>
    </sheetView>
  </sheetViews>
  <sheetFormatPr defaultRowHeight="13.2" x14ac:dyDescent="0.25"/>
  <cols>
    <col min="1" max="1" width="1.6640625" customWidth="1"/>
    <col min="2" max="2" width="40.6640625" customWidth="1"/>
    <col min="3" max="5" width="23.6640625" customWidth="1"/>
    <col min="6" max="6" width="15.44140625" customWidth="1"/>
    <col min="7" max="16" width="15.44140625" bestFit="1" customWidth="1"/>
    <col min="17" max="17" width="14.44140625" customWidth="1"/>
    <col min="18" max="18" width="14.88671875" bestFit="1" customWidth="1"/>
    <col min="19" max="19" width="14.44140625" customWidth="1"/>
    <col min="20" max="20" width="14.88671875" bestFit="1" customWidth="1"/>
    <col min="21" max="22" width="15.33203125" customWidth="1"/>
    <col min="23" max="23" width="15.44140625" customWidth="1"/>
    <col min="24" max="24" width="14.88671875" bestFit="1" customWidth="1"/>
    <col min="25" max="25" width="14.44140625" customWidth="1"/>
    <col min="26" max="27" width="14.5546875" customWidth="1"/>
  </cols>
  <sheetData>
    <row r="2" spans="2:27" x14ac:dyDescent="0.25">
      <c r="B2" t="s">
        <v>53</v>
      </c>
      <c r="F2" t="s">
        <v>23</v>
      </c>
    </row>
    <row r="4" spans="2:27" x14ac:dyDescent="0.25">
      <c r="C4" s="43" t="s">
        <v>35</v>
      </c>
      <c r="D4" s="43" t="s">
        <v>36</v>
      </c>
      <c r="E4" s="43" t="s">
        <v>37</v>
      </c>
      <c r="F4" s="22">
        <v>1</v>
      </c>
      <c r="G4" s="22">
        <v>2</v>
      </c>
      <c r="H4" s="22">
        <v>3</v>
      </c>
      <c r="I4" s="22">
        <v>4</v>
      </c>
      <c r="J4" s="22">
        <v>5</v>
      </c>
      <c r="K4" s="22">
        <v>6</v>
      </c>
      <c r="L4" s="22">
        <v>7</v>
      </c>
      <c r="M4" s="22">
        <v>8</v>
      </c>
      <c r="N4" s="22">
        <v>9</v>
      </c>
      <c r="O4" s="22">
        <v>10</v>
      </c>
      <c r="P4" s="22">
        <v>11</v>
      </c>
      <c r="Q4" s="22">
        <v>12</v>
      </c>
      <c r="R4" s="22">
        <v>13</v>
      </c>
      <c r="S4" s="22">
        <v>14</v>
      </c>
      <c r="T4" s="22">
        <v>15</v>
      </c>
      <c r="U4" s="22">
        <v>16</v>
      </c>
      <c r="V4" s="22">
        <v>17</v>
      </c>
      <c r="W4" s="22">
        <v>18</v>
      </c>
      <c r="X4" s="22">
        <v>19</v>
      </c>
      <c r="Y4" s="22">
        <v>20</v>
      </c>
      <c r="Z4" s="22">
        <v>21</v>
      </c>
      <c r="AA4" s="22">
        <v>22</v>
      </c>
    </row>
    <row r="5" spans="2:27" ht="42" customHeight="1" x14ac:dyDescent="0.25">
      <c r="C5" s="44"/>
      <c r="D5" s="44"/>
      <c r="E5" s="44"/>
      <c r="F5" s="23">
        <v>2025</v>
      </c>
      <c r="G5" s="23">
        <v>2026</v>
      </c>
      <c r="H5" s="23">
        <v>2027</v>
      </c>
      <c r="I5" s="23">
        <f>H5+1</f>
        <v>2028</v>
      </c>
      <c r="J5" s="23">
        <f t="shared" ref="J5:AA5" si="0">I5+1</f>
        <v>2029</v>
      </c>
      <c r="K5" s="23">
        <f t="shared" si="0"/>
        <v>2030</v>
      </c>
      <c r="L5" s="23">
        <f t="shared" si="0"/>
        <v>2031</v>
      </c>
      <c r="M5" s="23">
        <f t="shared" si="0"/>
        <v>2032</v>
      </c>
      <c r="N5" s="23">
        <f t="shared" si="0"/>
        <v>2033</v>
      </c>
      <c r="O5" s="23">
        <f t="shared" si="0"/>
        <v>2034</v>
      </c>
      <c r="P5" s="23">
        <f t="shared" si="0"/>
        <v>2035</v>
      </c>
      <c r="Q5" s="23">
        <f t="shared" si="0"/>
        <v>2036</v>
      </c>
      <c r="R5" s="23">
        <f t="shared" si="0"/>
        <v>2037</v>
      </c>
      <c r="S5" s="23">
        <f t="shared" si="0"/>
        <v>2038</v>
      </c>
      <c r="T5" s="23">
        <f t="shared" si="0"/>
        <v>2039</v>
      </c>
      <c r="U5" s="23">
        <f t="shared" si="0"/>
        <v>2040</v>
      </c>
      <c r="V5" s="23">
        <f t="shared" si="0"/>
        <v>2041</v>
      </c>
      <c r="W5" s="23">
        <f t="shared" si="0"/>
        <v>2042</v>
      </c>
      <c r="X5" s="23">
        <f t="shared" si="0"/>
        <v>2043</v>
      </c>
      <c r="Y5" s="23">
        <f t="shared" si="0"/>
        <v>2044</v>
      </c>
      <c r="Z5" s="23">
        <f t="shared" si="0"/>
        <v>2045</v>
      </c>
      <c r="AA5" s="23">
        <f t="shared" si="0"/>
        <v>2046</v>
      </c>
    </row>
    <row r="6" spans="2:27" x14ac:dyDescent="0.25">
      <c r="B6" s="19" t="s">
        <v>0</v>
      </c>
      <c r="C6" s="20">
        <v>0</v>
      </c>
      <c r="D6" s="20">
        <v>0</v>
      </c>
      <c r="E6" s="21">
        <f t="shared" ref="E6:Z6" si="1">$C$35*$B$35*E7</f>
        <v>7609358.2866346724</v>
      </c>
      <c r="F6" s="21">
        <f t="shared" si="1"/>
        <v>9511697.8582933396</v>
      </c>
      <c r="G6" s="21">
        <f t="shared" si="1"/>
        <v>11414037.429952007</v>
      </c>
      <c r="H6" s="21">
        <f t="shared" si="1"/>
        <v>13316377.001610674</v>
      </c>
      <c r="I6" s="21">
        <f t="shared" si="1"/>
        <v>15218716.573269345</v>
      </c>
      <c r="J6" s="21">
        <f t="shared" si="1"/>
        <v>17121056.144928012</v>
      </c>
      <c r="K6" s="21">
        <f t="shared" si="1"/>
        <v>17121056.144928012</v>
      </c>
      <c r="L6" s="21">
        <f t="shared" si="1"/>
        <v>17121056.144928012</v>
      </c>
      <c r="M6" s="21">
        <f t="shared" si="1"/>
        <v>17121056.144928012</v>
      </c>
      <c r="N6" s="21">
        <f t="shared" si="1"/>
        <v>17121056.144928012</v>
      </c>
      <c r="O6" s="21">
        <f t="shared" si="1"/>
        <v>17121056.144928012</v>
      </c>
      <c r="P6" s="21">
        <f t="shared" si="1"/>
        <v>17121056.144928012</v>
      </c>
      <c r="Q6" s="21">
        <f t="shared" si="1"/>
        <v>17121056.144928012</v>
      </c>
      <c r="R6" s="21">
        <f t="shared" si="1"/>
        <v>17121056.144928012</v>
      </c>
      <c r="S6" s="21">
        <f t="shared" si="1"/>
        <v>17121056.144928012</v>
      </c>
      <c r="T6" s="21">
        <f t="shared" si="1"/>
        <v>17121056.144928012</v>
      </c>
      <c r="U6" s="21">
        <f t="shared" si="1"/>
        <v>17121056.144928012</v>
      </c>
      <c r="V6" s="21">
        <f t="shared" si="1"/>
        <v>17121056.144928012</v>
      </c>
      <c r="W6" s="21">
        <f t="shared" si="1"/>
        <v>17121056.144928012</v>
      </c>
      <c r="X6" s="21">
        <f t="shared" si="1"/>
        <v>17121056.144928012</v>
      </c>
      <c r="Y6" s="21">
        <f t="shared" si="1"/>
        <v>17121056.144928012</v>
      </c>
      <c r="Z6" s="21">
        <f t="shared" si="1"/>
        <v>17121056.144928012</v>
      </c>
      <c r="AA6" s="21">
        <f>$C$35*$B$35*AA7+C9+0.4*B37</f>
        <v>50961056.144928008</v>
      </c>
    </row>
    <row r="7" spans="2:27" x14ac:dyDescent="0.25">
      <c r="B7" s="19" t="s">
        <v>17</v>
      </c>
      <c r="C7" s="20">
        <v>0</v>
      </c>
      <c r="D7" s="20">
        <v>0</v>
      </c>
      <c r="E7" s="20">
        <v>0.27280744312613725</v>
      </c>
      <c r="F7" s="21">
        <v>0.34100930390767153</v>
      </c>
      <c r="G7" s="21">
        <v>0.40921116468920582</v>
      </c>
      <c r="H7" s="21">
        <v>0.47741302547074005</v>
      </c>
      <c r="I7" s="21">
        <v>0.5456148862522745</v>
      </c>
      <c r="J7" s="21">
        <v>0.61381674703380873</v>
      </c>
      <c r="K7" s="21">
        <v>0.61381674703380873</v>
      </c>
      <c r="L7" s="21">
        <v>0.61381674703380873</v>
      </c>
      <c r="M7" s="21">
        <v>0.61381674703380873</v>
      </c>
      <c r="N7" s="21">
        <v>0.61381674703380873</v>
      </c>
      <c r="O7" s="21">
        <v>0.61381674703380873</v>
      </c>
      <c r="P7" s="21">
        <v>0.61381674703380873</v>
      </c>
      <c r="Q7" s="21">
        <v>0.61381674703380873</v>
      </c>
      <c r="R7" s="21">
        <v>0.61381674703380873</v>
      </c>
      <c r="S7" s="21">
        <v>0.61381674703380873</v>
      </c>
      <c r="T7" s="21">
        <v>0.61381674703380873</v>
      </c>
      <c r="U7" s="21">
        <v>0.61381674703380873</v>
      </c>
      <c r="V7" s="21">
        <v>0.61381674703380873</v>
      </c>
      <c r="W7" s="21">
        <v>0.61381674703380873</v>
      </c>
      <c r="X7" s="21">
        <v>0.61381674703380873</v>
      </c>
      <c r="Y7" s="21">
        <v>0.61381674703380873</v>
      </c>
      <c r="Z7" s="21">
        <v>0.61381674703380873</v>
      </c>
      <c r="AA7" s="21">
        <v>0.61381674703380873</v>
      </c>
    </row>
    <row r="8" spans="2:27" x14ac:dyDescent="0.25">
      <c r="B8" s="1" t="s">
        <v>16</v>
      </c>
      <c r="C8" s="2">
        <v>26500000</v>
      </c>
      <c r="D8" s="2">
        <v>37600000</v>
      </c>
      <c r="E8" s="2">
        <v>12000000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</row>
    <row r="9" spans="2:27" x14ac:dyDescent="0.25">
      <c r="B9" s="1" t="s">
        <v>11</v>
      </c>
      <c r="C9" s="26">
        <v>3400000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</row>
    <row r="10" spans="2:27" hidden="1" x14ac:dyDescent="0.25">
      <c r="B10" s="1" t="s">
        <v>12</v>
      </c>
      <c r="C10" s="26"/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</row>
    <row r="11" spans="2:27" x14ac:dyDescent="0.25">
      <c r="B11" s="17" t="s">
        <v>1</v>
      </c>
      <c r="C11" s="18">
        <v>0</v>
      </c>
      <c r="D11" s="18">
        <v>0</v>
      </c>
      <c r="E11" s="18">
        <v>0</v>
      </c>
      <c r="F11" s="18">
        <f>0.025*B37</f>
        <v>1902500</v>
      </c>
      <c r="G11" s="18">
        <f>F11</f>
        <v>1902500</v>
      </c>
      <c r="H11" s="18">
        <f t="shared" ref="H11:AA11" si="2">G11</f>
        <v>1902500</v>
      </c>
      <c r="I11" s="18">
        <f t="shared" si="2"/>
        <v>1902500</v>
      </c>
      <c r="J11" s="18">
        <f t="shared" si="2"/>
        <v>1902500</v>
      </c>
      <c r="K11" s="18">
        <f t="shared" si="2"/>
        <v>1902500</v>
      </c>
      <c r="L11" s="18">
        <f t="shared" si="2"/>
        <v>1902500</v>
      </c>
      <c r="M11" s="18">
        <f t="shared" si="2"/>
        <v>1902500</v>
      </c>
      <c r="N11" s="18">
        <f t="shared" si="2"/>
        <v>1902500</v>
      </c>
      <c r="O11" s="18">
        <f t="shared" si="2"/>
        <v>1902500</v>
      </c>
      <c r="P11" s="18">
        <f t="shared" si="2"/>
        <v>1902500</v>
      </c>
      <c r="Q11" s="18">
        <f t="shared" si="2"/>
        <v>1902500</v>
      </c>
      <c r="R11" s="18">
        <f t="shared" si="2"/>
        <v>1902500</v>
      </c>
      <c r="S11" s="18">
        <f t="shared" si="2"/>
        <v>1902500</v>
      </c>
      <c r="T11" s="18">
        <f t="shared" si="2"/>
        <v>1902500</v>
      </c>
      <c r="U11" s="18">
        <f t="shared" si="2"/>
        <v>1902500</v>
      </c>
      <c r="V11" s="18">
        <f t="shared" si="2"/>
        <v>1902500</v>
      </c>
      <c r="W11" s="18">
        <f t="shared" si="2"/>
        <v>1902500</v>
      </c>
      <c r="X11" s="18">
        <f t="shared" si="2"/>
        <v>1902500</v>
      </c>
      <c r="Y11" s="18">
        <f t="shared" si="2"/>
        <v>1902500</v>
      </c>
      <c r="Z11" s="18">
        <f t="shared" si="2"/>
        <v>1902500</v>
      </c>
      <c r="AA11" s="18">
        <f t="shared" si="2"/>
        <v>1902500</v>
      </c>
    </row>
    <row r="12" spans="2:27" hidden="1" x14ac:dyDescent="0.25">
      <c r="B12" s="15" t="s">
        <v>28</v>
      </c>
      <c r="C12" s="31"/>
      <c r="D12" s="31"/>
      <c r="E12" s="31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</row>
    <row r="13" spans="2:27" hidden="1" x14ac:dyDescent="0.25">
      <c r="B13" s="15" t="s">
        <v>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</row>
    <row r="14" spans="2:27" x14ac:dyDescent="0.25">
      <c r="B14" s="11" t="s">
        <v>3</v>
      </c>
      <c r="C14" s="12">
        <v>0</v>
      </c>
      <c r="D14" s="12">
        <v>0</v>
      </c>
      <c r="E14" s="12">
        <v>0</v>
      </c>
      <c r="F14" s="12">
        <v>87523</v>
      </c>
      <c r="G14" s="12">
        <f>F14*102%</f>
        <v>89273.46</v>
      </c>
      <c r="H14" s="12">
        <f>G14*102%</f>
        <v>91058.929200000013</v>
      </c>
      <c r="I14" s="12">
        <f t="shared" ref="I14:AA14" si="3">H14*102%</f>
        <v>92880.107784000022</v>
      </c>
      <c r="J14" s="12">
        <f t="shared" si="3"/>
        <v>94737.709939680019</v>
      </c>
      <c r="K14" s="12">
        <f t="shared" si="3"/>
        <v>96632.464138473617</v>
      </c>
      <c r="L14" s="12">
        <f t="shared" si="3"/>
        <v>98565.113421243092</v>
      </c>
      <c r="M14" s="12">
        <f t="shared" si="3"/>
        <v>100536.41568966795</v>
      </c>
      <c r="N14" s="12">
        <f t="shared" si="3"/>
        <v>102547.1440034613</v>
      </c>
      <c r="O14" s="12">
        <f t="shared" si="3"/>
        <v>104598.08688353053</v>
      </c>
      <c r="P14" s="12">
        <f t="shared" si="3"/>
        <v>106690.04862120115</v>
      </c>
      <c r="Q14" s="12">
        <f t="shared" si="3"/>
        <v>108823.84959362517</v>
      </c>
      <c r="R14" s="12">
        <f t="shared" si="3"/>
        <v>111000.32658549768</v>
      </c>
      <c r="S14" s="12">
        <f t="shared" si="3"/>
        <v>113220.33311720763</v>
      </c>
      <c r="T14" s="12">
        <f t="shared" si="3"/>
        <v>115484.73977955179</v>
      </c>
      <c r="U14" s="12">
        <f t="shared" si="3"/>
        <v>117794.43457514283</v>
      </c>
      <c r="V14" s="12">
        <f t="shared" si="3"/>
        <v>120150.32326664569</v>
      </c>
      <c r="W14" s="12">
        <f t="shared" si="3"/>
        <v>122553.32973197861</v>
      </c>
      <c r="X14" s="12">
        <f t="shared" si="3"/>
        <v>125004.39632661818</v>
      </c>
      <c r="Y14" s="12">
        <f t="shared" si="3"/>
        <v>127504.48425315054</v>
      </c>
      <c r="Z14" s="12">
        <f t="shared" si="3"/>
        <v>130054.57393821355</v>
      </c>
      <c r="AA14" s="12">
        <f t="shared" si="3"/>
        <v>132655.66541697783</v>
      </c>
    </row>
    <row r="15" spans="2:27" x14ac:dyDescent="0.25">
      <c r="B15" s="13" t="s">
        <v>4</v>
      </c>
      <c r="C15" s="12">
        <v>0</v>
      </c>
      <c r="D15" s="12">
        <v>0</v>
      </c>
      <c r="E15" s="12">
        <v>0</v>
      </c>
      <c r="F15" s="12">
        <v>23997</v>
      </c>
      <c r="G15" s="12">
        <v>14149.44</v>
      </c>
      <c r="H15" s="12">
        <v>14432.43</v>
      </c>
      <c r="I15" s="12">
        <v>14721.08</v>
      </c>
      <c r="J15" s="12">
        <v>15015.5</v>
      </c>
      <c r="K15" s="12">
        <v>15315.81</v>
      </c>
      <c r="L15" s="12">
        <v>15622.13</v>
      </c>
      <c r="M15" s="12">
        <v>15934.57</v>
      </c>
      <c r="N15" s="12">
        <v>16253.26</v>
      </c>
      <c r="O15" s="12">
        <v>16578.32</v>
      </c>
      <c r="P15" s="14">
        <v>16909.89</v>
      </c>
      <c r="Q15" s="14">
        <v>17839.93</v>
      </c>
      <c r="R15" s="14">
        <v>18821.13</v>
      </c>
      <c r="S15" s="14">
        <v>19856.29</v>
      </c>
      <c r="T15" s="14">
        <v>20948.39</v>
      </c>
      <c r="U15" s="14">
        <v>22100.55</v>
      </c>
      <c r="V15" s="14">
        <v>23316.080000000002</v>
      </c>
      <c r="W15" s="14">
        <v>24598.47</v>
      </c>
      <c r="X15" s="14">
        <v>25951.38</v>
      </c>
      <c r="Y15" s="14">
        <v>27378.71</v>
      </c>
      <c r="Z15" s="14">
        <v>28884.54</v>
      </c>
      <c r="AA15" s="14">
        <v>30473.19</v>
      </c>
    </row>
    <row r="16" spans="2:27" hidden="1" x14ac:dyDescent="0.25">
      <c r="B16" s="13" t="s">
        <v>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x14ac:dyDescent="0.25">
      <c r="B17" s="13" t="s">
        <v>6</v>
      </c>
      <c r="C17" s="12">
        <v>0</v>
      </c>
      <c r="D17" s="12">
        <v>0</v>
      </c>
      <c r="E17" s="12">
        <f t="shared" ref="E17:AA17" si="4">20*$B$35*E7</f>
        <v>44614.929248848486</v>
      </c>
      <c r="F17" s="12">
        <f t="shared" si="4"/>
        <v>55768.661561060602</v>
      </c>
      <c r="G17" s="12">
        <f t="shared" si="4"/>
        <v>66922.393873272726</v>
      </c>
      <c r="H17" s="12">
        <f t="shared" si="4"/>
        <v>78076.126185484827</v>
      </c>
      <c r="I17" s="12">
        <f t="shared" si="4"/>
        <v>89229.858497696972</v>
      </c>
      <c r="J17" s="12">
        <f t="shared" si="4"/>
        <v>100383.59080990907</v>
      </c>
      <c r="K17" s="12">
        <f t="shared" si="4"/>
        <v>100383.59080990907</v>
      </c>
      <c r="L17" s="12">
        <f t="shared" si="4"/>
        <v>100383.59080990907</v>
      </c>
      <c r="M17" s="12">
        <f t="shared" si="4"/>
        <v>100383.59080990907</v>
      </c>
      <c r="N17" s="12">
        <f t="shared" si="4"/>
        <v>100383.59080990907</v>
      </c>
      <c r="O17" s="12">
        <f t="shared" si="4"/>
        <v>100383.59080990907</v>
      </c>
      <c r="P17" s="12">
        <f t="shared" si="4"/>
        <v>100383.59080990907</v>
      </c>
      <c r="Q17" s="12">
        <f t="shared" si="4"/>
        <v>100383.59080990907</v>
      </c>
      <c r="R17" s="12">
        <f t="shared" si="4"/>
        <v>100383.59080990907</v>
      </c>
      <c r="S17" s="12">
        <f t="shared" si="4"/>
        <v>100383.59080990907</v>
      </c>
      <c r="T17" s="12">
        <f t="shared" si="4"/>
        <v>100383.59080990907</v>
      </c>
      <c r="U17" s="12">
        <f t="shared" si="4"/>
        <v>100383.59080990907</v>
      </c>
      <c r="V17" s="12">
        <f t="shared" si="4"/>
        <v>100383.59080990907</v>
      </c>
      <c r="W17" s="12">
        <f t="shared" si="4"/>
        <v>100383.59080990907</v>
      </c>
      <c r="X17" s="12">
        <f t="shared" si="4"/>
        <v>100383.59080990907</v>
      </c>
      <c r="Y17" s="12">
        <f t="shared" si="4"/>
        <v>100383.59080990907</v>
      </c>
      <c r="Z17" s="12">
        <f t="shared" si="4"/>
        <v>100383.59080990907</v>
      </c>
      <c r="AA17" s="12">
        <f t="shared" si="4"/>
        <v>100383.59080990907</v>
      </c>
    </row>
    <row r="18" spans="2:27" x14ac:dyDescent="0.25">
      <c r="B18" s="13" t="s">
        <v>7</v>
      </c>
      <c r="C18" s="12">
        <v>67000</v>
      </c>
      <c r="D18" s="12">
        <f t="shared" ref="D18:E22" si="5">C18*102%</f>
        <v>68340</v>
      </c>
      <c r="E18" s="12">
        <f t="shared" si="5"/>
        <v>69706.8</v>
      </c>
      <c r="F18" s="12">
        <f>7*12*1500</f>
        <v>126000</v>
      </c>
      <c r="G18" s="12">
        <f t="shared" ref="G18:AA22" si="6">F18*102%</f>
        <v>128520</v>
      </c>
      <c r="H18" s="12">
        <f t="shared" si="6"/>
        <v>131090.4</v>
      </c>
      <c r="I18" s="12">
        <f t="shared" si="6"/>
        <v>133712.20799999998</v>
      </c>
      <c r="J18" s="12">
        <f t="shared" si="6"/>
        <v>136386.45215999999</v>
      </c>
      <c r="K18" s="12">
        <f t="shared" si="6"/>
        <v>139114.18120319999</v>
      </c>
      <c r="L18" s="12">
        <f t="shared" si="6"/>
        <v>141896.46482726399</v>
      </c>
      <c r="M18" s="12">
        <f t="shared" si="6"/>
        <v>144734.39412380927</v>
      </c>
      <c r="N18" s="12">
        <f t="shared" si="6"/>
        <v>147629.08200628546</v>
      </c>
      <c r="O18" s="12">
        <f t="shared" si="6"/>
        <v>150581.66364641118</v>
      </c>
      <c r="P18" s="12">
        <f t="shared" si="6"/>
        <v>153593.29691933939</v>
      </c>
      <c r="Q18" s="12">
        <f t="shared" si="6"/>
        <v>156665.16285772619</v>
      </c>
      <c r="R18" s="12">
        <f t="shared" si="6"/>
        <v>159798.46611488072</v>
      </c>
      <c r="S18" s="12">
        <f t="shared" si="6"/>
        <v>162994.43543717833</v>
      </c>
      <c r="T18" s="12">
        <f t="shared" si="6"/>
        <v>166254.32414592188</v>
      </c>
      <c r="U18" s="12">
        <f t="shared" si="6"/>
        <v>169579.41062884033</v>
      </c>
      <c r="V18" s="12">
        <f t="shared" si="6"/>
        <v>172970.99884141714</v>
      </c>
      <c r="W18" s="12">
        <f t="shared" si="6"/>
        <v>176430.4188182455</v>
      </c>
      <c r="X18" s="12">
        <f t="shared" si="6"/>
        <v>179959.02719461042</v>
      </c>
      <c r="Y18" s="12">
        <f t="shared" si="6"/>
        <v>183558.20773850262</v>
      </c>
      <c r="Z18" s="12">
        <f t="shared" si="6"/>
        <v>187229.37189327268</v>
      </c>
      <c r="AA18" s="12">
        <f t="shared" si="6"/>
        <v>190973.95933113815</v>
      </c>
    </row>
    <row r="19" spans="2:27" hidden="1" x14ac:dyDescent="0.25">
      <c r="B19" s="13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2:27" x14ac:dyDescent="0.25">
      <c r="B20" s="13" t="s">
        <v>8</v>
      </c>
      <c r="C20" s="12">
        <v>800</v>
      </c>
      <c r="D20" s="12">
        <f t="shared" si="5"/>
        <v>816</v>
      </c>
      <c r="E20" s="12">
        <f t="shared" si="5"/>
        <v>832.32</v>
      </c>
      <c r="F20" s="12">
        <f>10*12</f>
        <v>120</v>
      </c>
      <c r="G20" s="12">
        <f t="shared" si="6"/>
        <v>122.4</v>
      </c>
      <c r="H20" s="12">
        <f t="shared" si="6"/>
        <v>124.84800000000001</v>
      </c>
      <c r="I20" s="12">
        <f t="shared" si="6"/>
        <v>127.34496000000001</v>
      </c>
      <c r="J20" s="12">
        <f t="shared" si="6"/>
        <v>129.89185920000003</v>
      </c>
      <c r="K20" s="12">
        <f t="shared" si="6"/>
        <v>132.48969638400004</v>
      </c>
      <c r="L20" s="12">
        <f t="shared" si="6"/>
        <v>135.13949031168005</v>
      </c>
      <c r="M20" s="12">
        <f t="shared" si="6"/>
        <v>137.84228011791365</v>
      </c>
      <c r="N20" s="12">
        <f t="shared" si="6"/>
        <v>140.59912572027193</v>
      </c>
      <c r="O20" s="12">
        <f t="shared" si="6"/>
        <v>143.41110823467736</v>
      </c>
      <c r="P20" s="12">
        <f t="shared" si="6"/>
        <v>146.27933039937091</v>
      </c>
      <c r="Q20" s="12">
        <f t="shared" si="6"/>
        <v>149.20491700735832</v>
      </c>
      <c r="R20" s="12">
        <f t="shared" si="6"/>
        <v>152.18901534750549</v>
      </c>
      <c r="S20" s="12">
        <f t="shared" si="6"/>
        <v>155.2327956544556</v>
      </c>
      <c r="T20" s="12">
        <f t="shared" si="6"/>
        <v>158.33745156754472</v>
      </c>
      <c r="U20" s="12">
        <f t="shared" si="6"/>
        <v>161.50420059889561</v>
      </c>
      <c r="V20" s="12">
        <f t="shared" si="6"/>
        <v>164.73428461087352</v>
      </c>
      <c r="W20" s="12">
        <f t="shared" si="6"/>
        <v>168.028970303091</v>
      </c>
      <c r="X20" s="12">
        <f t="shared" si="6"/>
        <v>171.38954970915282</v>
      </c>
      <c r="Y20" s="12">
        <f t="shared" si="6"/>
        <v>174.81734070333587</v>
      </c>
      <c r="Z20" s="12">
        <f t="shared" si="6"/>
        <v>178.3136875174026</v>
      </c>
      <c r="AA20" s="12">
        <f t="shared" si="6"/>
        <v>181.87996126775064</v>
      </c>
    </row>
    <row r="21" spans="2:27" x14ac:dyDescent="0.25">
      <c r="B21" s="13" t="s">
        <v>9</v>
      </c>
      <c r="C21" s="12">
        <v>6000</v>
      </c>
      <c r="D21" s="12">
        <f t="shared" si="5"/>
        <v>6120</v>
      </c>
      <c r="E21" s="12">
        <f t="shared" si="5"/>
        <v>6242.4000000000005</v>
      </c>
      <c r="F21" s="12">
        <f>30*12</f>
        <v>360</v>
      </c>
      <c r="G21" s="12">
        <f t="shared" si="6"/>
        <v>367.2</v>
      </c>
      <c r="H21" s="12">
        <f t="shared" si="6"/>
        <v>374.54399999999998</v>
      </c>
      <c r="I21" s="12">
        <f t="shared" si="6"/>
        <v>382.03487999999999</v>
      </c>
      <c r="J21" s="12">
        <f t="shared" si="6"/>
        <v>389.6755776</v>
      </c>
      <c r="K21" s="12">
        <f t="shared" si="6"/>
        <v>397.46908915199998</v>
      </c>
      <c r="L21" s="12">
        <f t="shared" si="6"/>
        <v>405.41847093503998</v>
      </c>
      <c r="M21" s="12">
        <f t="shared" si="6"/>
        <v>413.52684035374079</v>
      </c>
      <c r="N21" s="12">
        <f t="shared" si="6"/>
        <v>421.79737716081564</v>
      </c>
      <c r="O21" s="12">
        <f t="shared" si="6"/>
        <v>430.23332470403199</v>
      </c>
      <c r="P21" s="12">
        <f t="shared" si="6"/>
        <v>438.83799119811266</v>
      </c>
      <c r="Q21" s="12">
        <f t="shared" si="6"/>
        <v>447.61475102207493</v>
      </c>
      <c r="R21" s="12">
        <f t="shared" si="6"/>
        <v>456.56704604251644</v>
      </c>
      <c r="S21" s="12">
        <f t="shared" si="6"/>
        <v>465.69838696336677</v>
      </c>
      <c r="T21" s="12">
        <f t="shared" si="6"/>
        <v>475.01235470263413</v>
      </c>
      <c r="U21" s="12">
        <f t="shared" si="6"/>
        <v>484.51260179668679</v>
      </c>
      <c r="V21" s="12">
        <f t="shared" si="6"/>
        <v>494.20285383262052</v>
      </c>
      <c r="W21" s="12">
        <f t="shared" si="6"/>
        <v>504.08691090927294</v>
      </c>
      <c r="X21" s="12">
        <f t="shared" si="6"/>
        <v>514.16864912745837</v>
      </c>
      <c r="Y21" s="12">
        <f t="shared" si="6"/>
        <v>524.45202211000753</v>
      </c>
      <c r="Z21" s="12">
        <f t="shared" si="6"/>
        <v>534.94106255220765</v>
      </c>
      <c r="AA21" s="12">
        <f t="shared" si="6"/>
        <v>545.63988380325179</v>
      </c>
    </row>
    <row r="22" spans="2:27" x14ac:dyDescent="0.25">
      <c r="B22" s="13" t="s">
        <v>10</v>
      </c>
      <c r="C22" s="12">
        <v>4000</v>
      </c>
      <c r="D22" s="12">
        <f t="shared" si="5"/>
        <v>4080</v>
      </c>
      <c r="E22" s="12">
        <f t="shared" si="5"/>
        <v>4161.6000000000004</v>
      </c>
      <c r="F22" s="12">
        <f>12*1000</f>
        <v>12000</v>
      </c>
      <c r="G22" s="12">
        <f t="shared" si="6"/>
        <v>12240</v>
      </c>
      <c r="H22" s="12">
        <f t="shared" si="6"/>
        <v>12484.800000000001</v>
      </c>
      <c r="I22" s="12">
        <f t="shared" si="6"/>
        <v>12734.496000000001</v>
      </c>
      <c r="J22" s="12">
        <f t="shared" si="6"/>
        <v>12989.185920000002</v>
      </c>
      <c r="K22" s="12">
        <f t="shared" si="6"/>
        <v>13248.969638400002</v>
      </c>
      <c r="L22" s="12">
        <f t="shared" si="6"/>
        <v>13513.949031168002</v>
      </c>
      <c r="M22" s="12">
        <f t="shared" si="6"/>
        <v>13784.228011791361</v>
      </c>
      <c r="N22" s="12">
        <f t="shared" si="6"/>
        <v>14059.91257202719</v>
      </c>
      <c r="O22" s="12">
        <f t="shared" si="6"/>
        <v>14341.110823467734</v>
      </c>
      <c r="P22" s="12">
        <f t="shared" si="6"/>
        <v>14627.933039937088</v>
      </c>
      <c r="Q22" s="12">
        <f t="shared" si="6"/>
        <v>14920.491700735831</v>
      </c>
      <c r="R22" s="12">
        <f t="shared" si="6"/>
        <v>15218.901534750548</v>
      </c>
      <c r="S22" s="12">
        <f t="shared" si="6"/>
        <v>15523.27956544556</v>
      </c>
      <c r="T22" s="12">
        <f t="shared" si="6"/>
        <v>15833.745156754472</v>
      </c>
      <c r="U22" s="12">
        <f t="shared" si="6"/>
        <v>16150.420059889562</v>
      </c>
      <c r="V22" s="12">
        <f t="shared" si="6"/>
        <v>16473.428461087355</v>
      </c>
      <c r="W22" s="12">
        <f t="shared" si="6"/>
        <v>16802.897030309101</v>
      </c>
      <c r="X22" s="12">
        <f t="shared" si="6"/>
        <v>17138.954970915282</v>
      </c>
      <c r="Y22" s="12">
        <f t="shared" si="6"/>
        <v>17481.734070333587</v>
      </c>
      <c r="Z22" s="12">
        <f t="shared" si="6"/>
        <v>17831.368751740258</v>
      </c>
      <c r="AA22" s="12">
        <f t="shared" si="6"/>
        <v>18187.996126775062</v>
      </c>
    </row>
    <row r="23" spans="2:27" x14ac:dyDescent="0.25">
      <c r="B23" s="13" t="s">
        <v>13</v>
      </c>
      <c r="C23" s="12">
        <v>0</v>
      </c>
      <c r="D23" s="12">
        <v>0</v>
      </c>
      <c r="E23" s="12">
        <v>0</v>
      </c>
      <c r="F23" s="12">
        <f t="shared" ref="F23:AA23" si="7">IF(F6-SUM(F11:F22)&gt;0,(F6-SUM(F11:F22))*19%,0)</f>
        <v>1387651.5473791331</v>
      </c>
      <c r="G23" s="12">
        <f t="shared" si="7"/>
        <v>1747989.0818549595</v>
      </c>
      <c r="H23" s="12">
        <f t="shared" si="7"/>
        <v>2106384.6356027857</v>
      </c>
      <c r="I23" s="12">
        <f t="shared" si="7"/>
        <v>2464761.5941980532</v>
      </c>
      <c r="J23" s="12">
        <f t="shared" si="7"/>
        <v>2823119.5863457085</v>
      </c>
      <c r="K23" s="12">
        <f t="shared" si="7"/>
        <v>2822132.9223669739</v>
      </c>
      <c r="L23" s="12">
        <f t="shared" si="7"/>
        <v>2821126.5243866644</v>
      </c>
      <c r="M23" s="12">
        <f t="shared" si="7"/>
        <v>2820099.9996627485</v>
      </c>
      <c r="N23" s="12">
        <f t="shared" si="7"/>
        <v>2819052.9442163552</v>
      </c>
      <c r="O23" s="12">
        <f t="shared" si="7"/>
        <v>2817984.9483830333</v>
      </c>
      <c r="P23" s="12">
        <f t="shared" si="7"/>
        <v>2816895.5909610456</v>
      </c>
      <c r="Q23" s="12">
        <f t="shared" si="7"/>
        <v>2815671.9970566174</v>
      </c>
      <c r="R23" s="12">
        <f t="shared" si="7"/>
        <v>2814417.7450261009</v>
      </c>
      <c r="S23" s="12">
        <f t="shared" si="7"/>
        <v>2813131.8841149742</v>
      </c>
      <c r="T23" s="12">
        <f t="shared" si="7"/>
        <v>2811813.4209936252</v>
      </c>
      <c r="U23" s="12">
        <f t="shared" si="7"/>
        <v>2810461.3271898488</v>
      </c>
      <c r="V23" s="12">
        <f t="shared" si="7"/>
        <v>2809074.5294179972</v>
      </c>
      <c r="W23" s="12">
        <f t="shared" si="7"/>
        <v>2807651.9113047081</v>
      </c>
      <c r="X23" s="12">
        <f t="shared" si="7"/>
        <v>2806192.3151111533</v>
      </c>
      <c r="Y23" s="12">
        <f t="shared" si="7"/>
        <v>2804694.5282517276</v>
      </c>
      <c r="Z23" s="12">
        <f t="shared" si="7"/>
        <v>2803157.2945091133</v>
      </c>
      <c r="AA23" s="12">
        <f t="shared" si="7"/>
        <v>9231179.3024456464</v>
      </c>
    </row>
    <row r="24" spans="2:27" x14ac:dyDescent="0.25">
      <c r="B24" s="8" t="s">
        <v>29</v>
      </c>
      <c r="C24" s="9">
        <f>C6-C8-C11-C12-C14-C15-C16-C17-C18-C19-C20-C21-C22-C23-C13</f>
        <v>-26577800</v>
      </c>
      <c r="D24" s="9">
        <f>D6-D8-D11-D12-D14-D15-D16-D17-D18-D19-D20-D21-D22-D23-D13</f>
        <v>-37679356</v>
      </c>
      <c r="E24" s="9">
        <f>E6-E8-E11-E12-E14-E15-E16-E17-E18-E19-E20-E21-E22-E23-E13</f>
        <v>-4516199.7626141766</v>
      </c>
      <c r="F24" s="9">
        <f t="shared" ref="F24:AA24" si="8">F6-F11-F12-F14-F15-F16-F17-F18-F19-F20-F21-F22-F23-F13</f>
        <v>5915777.6493531456</v>
      </c>
      <c r="G24" s="9">
        <f t="shared" si="8"/>
        <v>7451953.4542237744</v>
      </c>
      <c r="H24" s="9">
        <f t="shared" si="8"/>
        <v>8979850.2886224054</v>
      </c>
      <c r="I24" s="9">
        <f t="shared" si="8"/>
        <v>10507667.848949594</v>
      </c>
      <c r="J24" s="9">
        <f t="shared" si="8"/>
        <v>12035404.552315915</v>
      </c>
      <c r="K24" s="9">
        <f t="shared" si="8"/>
        <v>12031198.247985519</v>
      </c>
      <c r="L24" s="9">
        <f t="shared" si="8"/>
        <v>12026907.814490514</v>
      </c>
      <c r="M24" s="9">
        <f t="shared" si="8"/>
        <v>12022531.577509616</v>
      </c>
      <c r="N24" s="9">
        <f t="shared" si="8"/>
        <v>12018067.81481709</v>
      </c>
      <c r="O24" s="9">
        <f t="shared" si="8"/>
        <v>12013514.779948721</v>
      </c>
      <c r="P24" s="9">
        <f t="shared" si="8"/>
        <v>12008870.677254979</v>
      </c>
      <c r="Q24" s="9">
        <f t="shared" si="8"/>
        <v>12003654.303241368</v>
      </c>
      <c r="R24" s="9">
        <f t="shared" si="8"/>
        <v>11998307.228795482</v>
      </c>
      <c r="S24" s="9">
        <f t="shared" si="8"/>
        <v>11992825.400700681</v>
      </c>
      <c r="T24" s="9">
        <f t="shared" si="8"/>
        <v>11987204.584235977</v>
      </c>
      <c r="U24" s="9">
        <f t="shared" si="8"/>
        <v>11981440.394861985</v>
      </c>
      <c r="V24" s="9">
        <f t="shared" si="8"/>
        <v>11975528.25699251</v>
      </c>
      <c r="W24" s="9">
        <f t="shared" si="8"/>
        <v>11969463.411351649</v>
      </c>
      <c r="X24" s="9">
        <f t="shared" si="8"/>
        <v>11963240.922315968</v>
      </c>
      <c r="Y24" s="9">
        <f t="shared" si="8"/>
        <v>11956855.620441575</v>
      </c>
      <c r="Z24" s="9">
        <f t="shared" si="8"/>
        <v>11950302.150275694</v>
      </c>
      <c r="AA24" s="9">
        <f t="shared" si="8"/>
        <v>39353974.920952484</v>
      </c>
    </row>
    <row r="25" spans="2:27" x14ac:dyDescent="0.25">
      <c r="B25" s="8" t="s">
        <v>14</v>
      </c>
      <c r="C25" s="9">
        <f>(1+$C$32)^C28</f>
        <v>1.0900000000000001</v>
      </c>
      <c r="D25" s="9">
        <f t="shared" ref="D25:AA25" si="9">(1+$C$32)^D28</f>
        <v>1.1881000000000002</v>
      </c>
      <c r="E25" s="9">
        <f t="shared" si="9"/>
        <v>1.2950290000000002</v>
      </c>
      <c r="F25" s="9">
        <f t="shared" si="9"/>
        <v>1.4115816100000003</v>
      </c>
      <c r="G25" s="9">
        <f t="shared" si="9"/>
        <v>1.5386239549000005</v>
      </c>
      <c r="H25" s="9">
        <f t="shared" si="9"/>
        <v>1.6771001108410006</v>
      </c>
      <c r="I25" s="9">
        <f t="shared" si="9"/>
        <v>1.8280391208166906</v>
      </c>
      <c r="J25" s="9">
        <f t="shared" si="9"/>
        <v>1.9925626416901929</v>
      </c>
      <c r="K25" s="9">
        <f t="shared" si="9"/>
        <v>2.1718932794423105</v>
      </c>
      <c r="L25" s="9">
        <f t="shared" si="9"/>
        <v>2.3673636745921187</v>
      </c>
      <c r="M25" s="9">
        <f t="shared" si="9"/>
        <v>2.5804264053054093</v>
      </c>
      <c r="N25" s="9">
        <f t="shared" si="9"/>
        <v>2.812664781782896</v>
      </c>
      <c r="O25" s="9">
        <f t="shared" si="9"/>
        <v>3.0658046121433573</v>
      </c>
      <c r="P25" s="9">
        <f t="shared" si="9"/>
        <v>3.3417270272362596</v>
      </c>
      <c r="Q25" s="9">
        <f t="shared" si="9"/>
        <v>3.6424824596875229</v>
      </c>
      <c r="R25" s="9">
        <f t="shared" si="9"/>
        <v>3.9703058810594003</v>
      </c>
      <c r="S25" s="9">
        <f t="shared" si="9"/>
        <v>4.3276334103547462</v>
      </c>
      <c r="T25" s="9">
        <f t="shared" si="9"/>
        <v>4.7171204172866741</v>
      </c>
      <c r="U25" s="9">
        <f t="shared" si="9"/>
        <v>5.1416612548424752</v>
      </c>
      <c r="V25" s="9">
        <f t="shared" si="9"/>
        <v>5.6044107677782975</v>
      </c>
      <c r="W25" s="9">
        <f t="shared" si="9"/>
        <v>6.1088077368783456</v>
      </c>
      <c r="X25" s="9">
        <f t="shared" si="9"/>
        <v>6.6586004331973969</v>
      </c>
      <c r="Y25" s="9">
        <f t="shared" si="9"/>
        <v>7.2578744721851622</v>
      </c>
      <c r="Z25" s="9">
        <f t="shared" si="9"/>
        <v>7.9110831746818278</v>
      </c>
      <c r="AA25" s="9">
        <f t="shared" si="9"/>
        <v>8.6230806604031933</v>
      </c>
    </row>
    <row r="26" spans="2:27" x14ac:dyDescent="0.25">
      <c r="B26" s="8" t="s">
        <v>30</v>
      </c>
      <c r="C26" s="9">
        <f>C24/C25</f>
        <v>-24383302.752293576</v>
      </c>
      <c r="D26" s="9">
        <f t="shared" ref="D26:AA26" si="10">D24/D25</f>
        <v>-31713960.104368314</v>
      </c>
      <c r="E26" s="9">
        <f t="shared" si="10"/>
        <v>-3487334.8493463667</v>
      </c>
      <c r="F26" s="9">
        <f t="shared" si="10"/>
        <v>4190886.0298577738</v>
      </c>
      <c r="G26" s="9">
        <f t="shared" si="10"/>
        <v>4843258.4391344003</v>
      </c>
      <c r="H26" s="9">
        <f t="shared" si="10"/>
        <v>5354391.3273724364</v>
      </c>
      <c r="I26" s="9">
        <f t="shared" si="10"/>
        <v>5748054.1468145456</v>
      </c>
      <c r="J26" s="9">
        <f t="shared" si="10"/>
        <v>6040163.7070274856</v>
      </c>
      <c r="K26" s="9">
        <f t="shared" si="10"/>
        <v>5539497.8942403831</v>
      </c>
      <c r="L26" s="9">
        <f t="shared" si="10"/>
        <v>5080295.8343790043</v>
      </c>
      <c r="M26" s="9">
        <f t="shared" si="10"/>
        <v>4659125.9308116846</v>
      </c>
      <c r="N26" s="9">
        <f t="shared" si="10"/>
        <v>4272840.436818446</v>
      </c>
      <c r="O26" s="9">
        <f t="shared" si="10"/>
        <v>3918551.9952459931</v>
      </c>
      <c r="P26" s="9">
        <f t="shared" si="10"/>
        <v>3593612.0991865662</v>
      </c>
      <c r="Q26" s="9">
        <f t="shared" si="10"/>
        <v>3295459.7410116629</v>
      </c>
      <c r="R26" s="9">
        <f t="shared" si="10"/>
        <v>3022010.7941894801</v>
      </c>
      <c r="S26" s="9">
        <f t="shared" si="10"/>
        <v>2771220.2637139731</v>
      </c>
      <c r="T26" s="9">
        <f t="shared" si="10"/>
        <v>2541212.3337591444</v>
      </c>
      <c r="U26" s="9">
        <f t="shared" si="10"/>
        <v>2330266.3868759787</v>
      </c>
      <c r="V26" s="9">
        <f t="shared" si="10"/>
        <v>2136804.1625078549</v>
      </c>
      <c r="W26" s="9">
        <f t="shared" si="10"/>
        <v>1959377.9878016182</v>
      </c>
      <c r="X26" s="9">
        <f t="shared" si="10"/>
        <v>1796659.9801771457</v>
      </c>
      <c r="Y26" s="9">
        <f t="shared" si="10"/>
        <v>1647432.1326808052</v>
      </c>
      <c r="Z26" s="9">
        <f t="shared" si="10"/>
        <v>1510577.2353046103</v>
      </c>
      <c r="AA26" s="9">
        <f t="shared" si="10"/>
        <v>4563795.292054289</v>
      </c>
    </row>
    <row r="27" spans="2:27" x14ac:dyDescent="0.25">
      <c r="B27" s="8" t="s">
        <v>31</v>
      </c>
      <c r="C27" s="9">
        <f>C26</f>
        <v>-24383302.752293576</v>
      </c>
      <c r="D27" s="9">
        <f>C27+D26</f>
        <v>-56097262.856661886</v>
      </c>
      <c r="E27" s="9">
        <f>D27+E26</f>
        <v>-59584597.706008255</v>
      </c>
      <c r="F27" s="10">
        <f>E27+F26</f>
        <v>-55393711.676150478</v>
      </c>
      <c r="G27" s="10">
        <f>F27+G26</f>
        <v>-50550453.237016082</v>
      </c>
      <c r="H27" s="10">
        <f t="shared" ref="H27:AA27" si="11">G27+H26</f>
        <v>-45196061.909643643</v>
      </c>
      <c r="I27" s="10">
        <f t="shared" si="11"/>
        <v>-39448007.762829095</v>
      </c>
      <c r="J27" s="10">
        <f t="shared" si="11"/>
        <v>-33407844.055801608</v>
      </c>
      <c r="K27" s="10">
        <f t="shared" si="11"/>
        <v>-27868346.161561225</v>
      </c>
      <c r="L27" s="10">
        <f t="shared" si="11"/>
        <v>-22788050.327182218</v>
      </c>
      <c r="M27" s="10">
        <f t="shared" si="11"/>
        <v>-18128924.396370534</v>
      </c>
      <c r="N27" s="10">
        <f t="shared" si="11"/>
        <v>-13856083.959552087</v>
      </c>
      <c r="O27" s="10">
        <f t="shared" si="11"/>
        <v>-9937531.9643060938</v>
      </c>
      <c r="P27" s="10">
        <f t="shared" si="11"/>
        <v>-6343919.865119528</v>
      </c>
      <c r="Q27" s="10">
        <f t="shared" si="11"/>
        <v>-3048460.1241078652</v>
      </c>
      <c r="R27" s="10">
        <f t="shared" si="11"/>
        <v>-26449.329918385018</v>
      </c>
      <c r="S27" s="10">
        <f t="shared" si="11"/>
        <v>2744770.9337955881</v>
      </c>
      <c r="T27" s="10">
        <f t="shared" si="11"/>
        <v>5285983.267554732</v>
      </c>
      <c r="U27" s="10">
        <f t="shared" si="11"/>
        <v>7616249.6544307107</v>
      </c>
      <c r="V27" s="10">
        <f t="shared" si="11"/>
        <v>9753053.816938566</v>
      </c>
      <c r="W27" s="10">
        <f t="shared" si="11"/>
        <v>11712431.804740185</v>
      </c>
      <c r="X27" s="10">
        <f t="shared" si="11"/>
        <v>13509091.78491733</v>
      </c>
      <c r="Y27" s="10">
        <f t="shared" si="11"/>
        <v>15156523.917598136</v>
      </c>
      <c r="Z27" s="10">
        <f t="shared" si="11"/>
        <v>16667101.152902747</v>
      </c>
      <c r="AA27" s="10">
        <f t="shared" si="11"/>
        <v>21230896.444957037</v>
      </c>
    </row>
    <row r="28" spans="2:27" x14ac:dyDescent="0.25">
      <c r="B28" s="28" t="s">
        <v>20</v>
      </c>
      <c r="C28" s="29">
        <v>1</v>
      </c>
      <c r="D28" s="29">
        <f>C28+1</f>
        <v>2</v>
      </c>
      <c r="E28" s="29">
        <f t="shared" ref="E28:AA28" si="12">D28+1</f>
        <v>3</v>
      </c>
      <c r="F28" s="29">
        <f t="shared" si="12"/>
        <v>4</v>
      </c>
      <c r="G28" s="29">
        <f t="shared" si="12"/>
        <v>5</v>
      </c>
      <c r="H28" s="29">
        <f t="shared" si="12"/>
        <v>6</v>
      </c>
      <c r="I28" s="29">
        <f t="shared" si="12"/>
        <v>7</v>
      </c>
      <c r="J28" s="29">
        <f t="shared" si="12"/>
        <v>8</v>
      </c>
      <c r="K28" s="29">
        <f t="shared" si="12"/>
        <v>9</v>
      </c>
      <c r="L28" s="29">
        <f t="shared" si="12"/>
        <v>10</v>
      </c>
      <c r="M28" s="29">
        <f t="shared" si="12"/>
        <v>11</v>
      </c>
      <c r="N28" s="29">
        <f t="shared" si="12"/>
        <v>12</v>
      </c>
      <c r="O28" s="29">
        <f t="shared" si="12"/>
        <v>13</v>
      </c>
      <c r="P28" s="29">
        <f t="shared" si="12"/>
        <v>14</v>
      </c>
      <c r="Q28" s="29">
        <f t="shared" si="12"/>
        <v>15</v>
      </c>
      <c r="R28" s="29">
        <f t="shared" si="12"/>
        <v>16</v>
      </c>
      <c r="S28" s="29">
        <f t="shared" si="12"/>
        <v>17</v>
      </c>
      <c r="T28" s="29">
        <f t="shared" si="12"/>
        <v>18</v>
      </c>
      <c r="U28" s="29">
        <f t="shared" si="12"/>
        <v>19</v>
      </c>
      <c r="V28" s="29">
        <f t="shared" si="12"/>
        <v>20</v>
      </c>
      <c r="W28" s="29">
        <f t="shared" si="12"/>
        <v>21</v>
      </c>
      <c r="X28" s="29">
        <f t="shared" si="12"/>
        <v>22</v>
      </c>
      <c r="Y28" s="29">
        <f t="shared" si="12"/>
        <v>23</v>
      </c>
      <c r="Z28" s="29">
        <f t="shared" si="12"/>
        <v>24</v>
      </c>
      <c r="AA28" s="29">
        <f t="shared" si="12"/>
        <v>25</v>
      </c>
    </row>
    <row r="30" spans="2:27" x14ac:dyDescent="0.25">
      <c r="E30" s="3" t="s">
        <v>21</v>
      </c>
      <c r="F30" s="27">
        <f>-(C9+C10)+SUM(C26:AA26)</f>
        <v>17830896.444957037</v>
      </c>
      <c r="G30" t="s">
        <v>15</v>
      </c>
    </row>
    <row r="32" spans="2:27" x14ac:dyDescent="0.25">
      <c r="B32" t="s">
        <v>38</v>
      </c>
      <c r="C32" s="36">
        <v>0.09</v>
      </c>
      <c r="F32" s="27">
        <f>-(C9+C10)+NPV(C32,C24:AA24)</f>
        <v>17830896.444957014</v>
      </c>
      <c r="G32" t="s">
        <v>15</v>
      </c>
    </row>
    <row r="33" spans="2:19" x14ac:dyDescent="0.25">
      <c r="F33" s="5"/>
      <c r="G33" s="5"/>
      <c r="H33" s="5"/>
      <c r="I33" s="5"/>
      <c r="J33" s="5"/>
      <c r="K33" s="5"/>
      <c r="L33" s="5"/>
      <c r="M33" s="5"/>
      <c r="N33" s="6"/>
      <c r="O33" s="6"/>
      <c r="P33" s="7"/>
      <c r="Q33" s="7"/>
      <c r="R33" s="7"/>
      <c r="S33" s="7"/>
    </row>
    <row r="34" spans="2:19" x14ac:dyDescent="0.25">
      <c r="B34" s="34" t="s">
        <v>18</v>
      </c>
      <c r="C34" s="1" t="s">
        <v>39</v>
      </c>
      <c r="E34" s="3" t="s">
        <v>22</v>
      </c>
      <c r="F34" s="45">
        <f>IRR(C24:AA24)</f>
        <v>0.1225601079594465</v>
      </c>
      <c r="G34" s="5"/>
      <c r="H34" s="5"/>
      <c r="I34" s="5"/>
      <c r="J34" s="5"/>
      <c r="K34" s="5"/>
      <c r="L34" s="5"/>
      <c r="M34" s="5"/>
      <c r="N34" s="6"/>
      <c r="O34" s="6"/>
      <c r="P34" s="7"/>
      <c r="Q34" s="7"/>
      <c r="R34" s="7"/>
      <c r="S34" s="7"/>
    </row>
    <row r="35" spans="2:19" x14ac:dyDescent="0.25">
      <c r="B35" s="35">
        <f>856+7321</f>
        <v>8177</v>
      </c>
      <c r="C35" s="37">
        <v>3411.1264613654275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2:19" x14ac:dyDescent="0.25">
      <c r="B36" s="34" t="s">
        <v>19</v>
      </c>
      <c r="C36" s="1" t="s">
        <v>40</v>
      </c>
      <c r="E36" s="4"/>
      <c r="F36" s="5"/>
      <c r="G36" s="5"/>
      <c r="H36" s="5"/>
      <c r="I36" s="5"/>
      <c r="J36" s="5"/>
      <c r="K36" s="5"/>
      <c r="L36" s="5"/>
      <c r="M36" s="5"/>
      <c r="N36" s="5"/>
      <c r="O36" s="5"/>
      <c r="P36" s="7"/>
      <c r="Q36" s="7"/>
      <c r="R36" s="7"/>
      <c r="S36" s="7"/>
    </row>
    <row r="37" spans="2:19" x14ac:dyDescent="0.25">
      <c r="B37" s="38">
        <f>C8+D8+E8</f>
        <v>76100000</v>
      </c>
      <c r="C37" s="39">
        <f>B37/B35</f>
        <v>9306.5916595328363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7"/>
      <c r="Q37" s="7"/>
      <c r="R37" s="7"/>
      <c r="S37" s="7"/>
    </row>
    <row r="38" spans="2:19" x14ac:dyDescent="0.25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</sheetData>
  <mergeCells count="3">
    <mergeCell ref="C4:C5"/>
    <mergeCell ref="D4:D5"/>
    <mergeCell ref="E4:E5"/>
  </mergeCells>
  <phoneticPr fontId="0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5"/>
  <sheetViews>
    <sheetView workbookViewId="0">
      <selection activeCell="E13" sqref="E13"/>
    </sheetView>
  </sheetViews>
  <sheetFormatPr defaultRowHeight="13.2" x14ac:dyDescent="0.25"/>
  <cols>
    <col min="3" max="3" width="12.6640625" bestFit="1" customWidth="1"/>
    <col min="7" max="7" width="9.6640625" bestFit="1" customWidth="1"/>
  </cols>
  <sheetData>
    <row r="3" spans="3:11" x14ac:dyDescent="0.25">
      <c r="E3">
        <v>0.4</v>
      </c>
      <c r="G3">
        <f>E3*C4</f>
        <v>30440000</v>
      </c>
    </row>
    <row r="4" spans="3:11" x14ac:dyDescent="0.25">
      <c r="C4" s="24">
        <f>'Przepływy i NPV'!B37</f>
        <v>76100000</v>
      </c>
    </row>
    <row r="5" spans="3:11" x14ac:dyDescent="0.25">
      <c r="E5">
        <v>0.6</v>
      </c>
      <c r="G5">
        <f>E5*C4</f>
        <v>45660000</v>
      </c>
      <c r="I5">
        <v>10</v>
      </c>
      <c r="K5">
        <f>G5/I5</f>
        <v>4566000</v>
      </c>
    </row>
    <row r="7" spans="3:11" x14ac:dyDescent="0.25">
      <c r="C7">
        <v>0.2</v>
      </c>
    </row>
    <row r="9" spans="3:11" x14ac:dyDescent="0.25">
      <c r="E9" t="s">
        <v>24</v>
      </c>
      <c r="F9" t="s">
        <v>26</v>
      </c>
      <c r="G9" t="s">
        <v>25</v>
      </c>
    </row>
    <row r="10" spans="3:11" x14ac:dyDescent="0.25">
      <c r="D10">
        <v>1</v>
      </c>
      <c r="F10" s="25">
        <f>0.6*'Przepływy i NPV'!C8</f>
        <v>15900000</v>
      </c>
      <c r="G10">
        <f>$C$7*F10</f>
        <v>3180000</v>
      </c>
      <c r="I10" s="30">
        <v>3180000</v>
      </c>
    </row>
    <row r="11" spans="3:11" x14ac:dyDescent="0.25">
      <c r="C11">
        <f>F10+F11+F12</f>
        <v>45660000</v>
      </c>
      <c r="D11">
        <v>2</v>
      </c>
      <c r="F11" s="25">
        <f>0.6*'Przepływy i NPV'!D8</f>
        <v>22560000</v>
      </c>
      <c r="G11">
        <f>$C$7*(F10+F11)</f>
        <v>7692000</v>
      </c>
      <c r="I11" s="30">
        <v>7692000</v>
      </c>
    </row>
    <row r="12" spans="3:11" x14ac:dyDescent="0.25">
      <c r="D12">
        <v>3</v>
      </c>
      <c r="F12" s="25">
        <f>0.6*'Przepływy i NPV'!E8</f>
        <v>7200000</v>
      </c>
      <c r="G12">
        <f>$C$7*(F10+F11+F12)</f>
        <v>9132000</v>
      </c>
      <c r="I12" s="30">
        <v>9132000</v>
      </c>
    </row>
    <row r="13" spans="3:11" x14ac:dyDescent="0.25">
      <c r="D13">
        <v>4</v>
      </c>
      <c r="E13">
        <v>4566000</v>
      </c>
      <c r="F13">
        <f>G5</f>
        <v>45660000</v>
      </c>
      <c r="G13">
        <f t="shared" ref="G13:G22" si="0">$C$7*F13</f>
        <v>9132000</v>
      </c>
      <c r="I13" s="30">
        <v>9132000</v>
      </c>
    </row>
    <row r="14" spans="3:11" x14ac:dyDescent="0.25">
      <c r="D14">
        <v>5</v>
      </c>
      <c r="E14">
        <v>4566000</v>
      </c>
      <c r="F14">
        <f>F13-E13</f>
        <v>41094000</v>
      </c>
      <c r="G14">
        <f t="shared" si="0"/>
        <v>8218800</v>
      </c>
      <c r="I14" s="30">
        <v>8218800</v>
      </c>
    </row>
    <row r="15" spans="3:11" x14ac:dyDescent="0.25">
      <c r="D15">
        <v>6</v>
      </c>
      <c r="E15">
        <v>4566000</v>
      </c>
      <c r="F15">
        <f t="shared" ref="F15:F22" si="1">F14-E14</f>
        <v>36528000</v>
      </c>
      <c r="G15">
        <f t="shared" si="0"/>
        <v>7305600</v>
      </c>
      <c r="I15" s="30">
        <v>7305600</v>
      </c>
    </row>
    <row r="16" spans="3:11" x14ac:dyDescent="0.25">
      <c r="D16">
        <v>7</v>
      </c>
      <c r="E16">
        <v>4566000</v>
      </c>
      <c r="F16">
        <f t="shared" si="1"/>
        <v>31962000</v>
      </c>
      <c r="G16">
        <f t="shared" si="0"/>
        <v>6392400</v>
      </c>
      <c r="I16" s="30">
        <v>6392400</v>
      </c>
    </row>
    <row r="17" spans="4:9" x14ac:dyDescent="0.25">
      <c r="D17">
        <v>8</v>
      </c>
      <c r="E17">
        <v>4566000</v>
      </c>
      <c r="F17">
        <f t="shared" si="1"/>
        <v>27396000</v>
      </c>
      <c r="G17">
        <f t="shared" si="0"/>
        <v>5479200</v>
      </c>
      <c r="I17" s="30">
        <v>5479200</v>
      </c>
    </row>
    <row r="18" spans="4:9" x14ac:dyDescent="0.25">
      <c r="D18">
        <v>9</v>
      </c>
      <c r="E18">
        <v>4566000</v>
      </c>
      <c r="F18">
        <f t="shared" si="1"/>
        <v>22830000</v>
      </c>
      <c r="G18">
        <f t="shared" si="0"/>
        <v>4566000</v>
      </c>
      <c r="I18" s="30">
        <v>4566000</v>
      </c>
    </row>
    <row r="19" spans="4:9" x14ac:dyDescent="0.25">
      <c r="D19">
        <v>10</v>
      </c>
      <c r="E19">
        <v>4566000</v>
      </c>
      <c r="F19">
        <f t="shared" si="1"/>
        <v>18264000</v>
      </c>
      <c r="G19">
        <f t="shared" si="0"/>
        <v>3652800</v>
      </c>
      <c r="I19" s="30">
        <v>3652800</v>
      </c>
    </row>
    <row r="20" spans="4:9" x14ac:dyDescent="0.25">
      <c r="D20">
        <v>11</v>
      </c>
      <c r="E20">
        <v>4566000</v>
      </c>
      <c r="F20">
        <f t="shared" si="1"/>
        <v>13698000</v>
      </c>
      <c r="G20">
        <f t="shared" si="0"/>
        <v>2739600</v>
      </c>
      <c r="I20" s="30">
        <v>2739600</v>
      </c>
    </row>
    <row r="21" spans="4:9" x14ac:dyDescent="0.25">
      <c r="D21">
        <v>12</v>
      </c>
      <c r="E21">
        <v>4566000</v>
      </c>
      <c r="F21">
        <f t="shared" si="1"/>
        <v>9132000</v>
      </c>
      <c r="G21">
        <f t="shared" si="0"/>
        <v>1826400</v>
      </c>
      <c r="I21" s="30">
        <v>1826400</v>
      </c>
    </row>
    <row r="22" spans="4:9" x14ac:dyDescent="0.25">
      <c r="D22">
        <v>13</v>
      </c>
      <c r="E22">
        <v>4566000</v>
      </c>
      <c r="F22">
        <f t="shared" si="1"/>
        <v>4566000</v>
      </c>
      <c r="G22">
        <f t="shared" si="0"/>
        <v>913200</v>
      </c>
      <c r="I22" s="30">
        <v>913200</v>
      </c>
    </row>
    <row r="25" spans="4:9" x14ac:dyDescent="0.25">
      <c r="E25" t="s">
        <v>27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Opis inwestycji</vt:lpstr>
      <vt:lpstr>Budynek</vt:lpstr>
      <vt:lpstr>Schemat postępowania</vt:lpstr>
      <vt:lpstr>Przepływy i NPV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Janusz Kulejewski</cp:lastModifiedBy>
  <dcterms:created xsi:type="dcterms:W3CDTF">1997-02-26T13:46:56Z</dcterms:created>
  <dcterms:modified xsi:type="dcterms:W3CDTF">2021-12-06T14:28:46Z</dcterms:modified>
</cp:coreProperties>
</file>